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120" windowWidth="15480" windowHeight="7965" activeTab="2"/>
  </bookViews>
  <sheets>
    <sheet name="Invoere" sheetId="2" r:id="rId1"/>
    <sheet name="Berekening" sheetId="1" state="hidden" r:id="rId2"/>
    <sheet name="Marges" sheetId="3" r:id="rId3"/>
  </sheets>
  <definedNames>
    <definedName name="_xlnm.Print_Area" localSheetId="1">Berekening!$A$1:$T$47</definedName>
  </definedNames>
  <calcPr calcId="124519"/>
</workbook>
</file>

<file path=xl/calcChain.xml><?xml version="1.0" encoding="utf-8"?>
<calcChain xmlns="http://schemas.openxmlformats.org/spreadsheetml/2006/main">
  <c r="J17" i="1"/>
  <c r="C32" i="3" s="1"/>
  <c r="P17" i="1"/>
  <c r="P15"/>
  <c r="I16"/>
  <c r="K13"/>
  <c r="I13"/>
  <c r="K8"/>
  <c r="K7"/>
  <c r="K6"/>
  <c r="K5"/>
  <c r="I8"/>
  <c r="I7"/>
  <c r="I6"/>
  <c r="J6" s="1"/>
  <c r="C24" i="3" s="1"/>
  <c r="I5" i="1"/>
  <c r="J5" s="1"/>
  <c r="C23" i="3" s="1"/>
  <c r="C44" i="1"/>
  <c r="C43"/>
  <c r="D40"/>
  <c r="D39"/>
  <c r="D38"/>
  <c r="D37"/>
  <c r="B40"/>
  <c r="B39"/>
  <c r="B38"/>
  <c r="B37"/>
  <c r="C31"/>
  <c r="C30"/>
  <c r="D27"/>
  <c r="B27"/>
  <c r="C23"/>
  <c r="C22"/>
  <c r="D19"/>
  <c r="B19"/>
  <c r="I30"/>
  <c r="I38"/>
  <c r="C15"/>
  <c r="C12"/>
  <c r="B10"/>
  <c r="B8"/>
  <c r="B7"/>
  <c r="C6"/>
  <c r="C6" i="3" s="1"/>
  <c r="S11" i="1"/>
  <c r="S9"/>
  <c r="S8"/>
  <c r="S7"/>
  <c r="S6"/>
  <c r="S5"/>
  <c r="J8" l="1"/>
  <c r="C26" i="3" s="1"/>
  <c r="J7" i="1"/>
  <c r="C25" i="3" s="1"/>
  <c r="C40" i="1"/>
  <c r="C27" l="1"/>
  <c r="C28" s="1"/>
  <c r="C19"/>
  <c r="C20" s="1"/>
  <c r="J13"/>
  <c r="C38"/>
  <c r="C39"/>
  <c r="C37"/>
  <c r="C10"/>
  <c r="C10" i="3" s="1"/>
  <c r="C8" i="1"/>
  <c r="C8" i="3" s="1"/>
  <c r="B14" i="1"/>
  <c r="C14" s="1"/>
  <c r="C7"/>
  <c r="C7" i="3" s="1"/>
  <c r="C30" l="1"/>
  <c r="C32" i="1"/>
  <c r="C18" i="3" s="1"/>
  <c r="C17"/>
  <c r="J30" i="1"/>
  <c r="C42" i="3" s="1"/>
  <c r="C12"/>
  <c r="C24" i="1"/>
  <c r="C16" i="3" s="1"/>
  <c r="C15"/>
  <c r="C41" i="1"/>
  <c r="C4"/>
  <c r="C34"/>
  <c r="J9"/>
  <c r="C11"/>
  <c r="C27" i="3" l="1"/>
  <c r="J22" i="1"/>
  <c r="J38"/>
  <c r="C11" i="3"/>
  <c r="C45" i="1"/>
  <c r="C20" i="3" s="1"/>
  <c r="C19"/>
  <c r="C9"/>
  <c r="P18" i="1"/>
  <c r="C36" i="3"/>
  <c r="P24" i="1" l="1"/>
  <c r="C49" i="3"/>
  <c r="C60"/>
  <c r="P20" i="1"/>
  <c r="J21"/>
  <c r="C35" i="3" s="1"/>
  <c r="J16" i="1"/>
  <c r="J39"/>
  <c r="C50" i="3" s="1"/>
  <c r="C31" l="1"/>
  <c r="J18" i="1"/>
  <c r="J23" s="1"/>
  <c r="C37" i="3" s="1"/>
  <c r="C61"/>
  <c r="P28" i="1"/>
  <c r="C66" i="3" s="1"/>
  <c r="J24" i="1" l="1"/>
  <c r="J26" l="1"/>
  <c r="J27" s="1"/>
  <c r="C40" i="3" s="1"/>
  <c r="J42" i="1"/>
  <c r="J32"/>
  <c r="C44" i="3" s="1"/>
  <c r="J44" i="1"/>
  <c r="C55" i="3" s="1"/>
  <c r="C38"/>
  <c r="C39"/>
  <c r="J45" i="1" l="1"/>
  <c r="C56" i="3" s="1"/>
  <c r="J33" i="1"/>
  <c r="C45" i="3" s="1"/>
  <c r="P26" i="1"/>
  <c r="P30" s="1"/>
  <c r="P31" s="1"/>
  <c r="C64" i="3"/>
  <c r="C53"/>
  <c r="J46" i="1" l="1"/>
  <c r="C57" i="3" s="1"/>
  <c r="C68"/>
  <c r="P32" i="1"/>
  <c r="C70" i="3" s="1"/>
  <c r="C69"/>
</calcChain>
</file>

<file path=xl/sharedStrings.xml><?xml version="1.0" encoding="utf-8"?>
<sst xmlns="http://schemas.openxmlformats.org/spreadsheetml/2006/main" count="228" uniqueCount="166">
  <si>
    <t>Speengewig</t>
  </si>
  <si>
    <t>kg</t>
  </si>
  <si>
    <t>Karkas gewig</t>
  </si>
  <si>
    <t>Fisiese Gegewens</t>
  </si>
  <si>
    <t>Winterlek</t>
  </si>
  <si>
    <t>Inname</t>
  </si>
  <si>
    <t>Koste</t>
  </si>
  <si>
    <t>kg/dier/dag</t>
  </si>
  <si>
    <t>Tydperk</t>
  </si>
  <si>
    <t>Dae</t>
  </si>
  <si>
    <t>Koste/dier</t>
  </si>
  <si>
    <t>Lek en Voer Kostes</t>
  </si>
  <si>
    <t>Kruipvoer</t>
  </si>
  <si>
    <t>Mielies</t>
  </si>
  <si>
    <t>SS 200</t>
  </si>
  <si>
    <t>Procon 33</t>
  </si>
  <si>
    <t>Hoeveelheid</t>
  </si>
  <si>
    <t>R/50kg</t>
  </si>
  <si>
    <t>R/kg</t>
  </si>
  <si>
    <t>Slenkdal</t>
  </si>
  <si>
    <t>Doseer en Ent Kostes</t>
  </si>
  <si>
    <t>Arbeid</t>
  </si>
  <si>
    <t>Werkers</t>
  </si>
  <si>
    <t>Werker/Maand</t>
  </si>
  <si>
    <t>Oorhoofs</t>
  </si>
  <si>
    <t>% van Tot</t>
  </si>
  <si>
    <t>Tot/Jaar</t>
  </si>
  <si>
    <t>Arbeid/Jaar</t>
  </si>
  <si>
    <t>Totale Kostes</t>
  </si>
  <si>
    <t>Lek en Voer</t>
  </si>
  <si>
    <t>Doseer en Ent</t>
  </si>
  <si>
    <t>Ander</t>
  </si>
  <si>
    <t>Totaal</t>
  </si>
  <si>
    <t>Per Bemarkte Kg</t>
  </si>
  <si>
    <t>Totaal per kg</t>
  </si>
  <si>
    <t>Somerlek</t>
  </si>
  <si>
    <t>Fosfaatblok</t>
  </si>
  <si>
    <t>Totale lek / dier</t>
  </si>
  <si>
    <t>R/25kg</t>
  </si>
  <si>
    <t>Marge</t>
  </si>
  <si>
    <t>Inkomste</t>
  </si>
  <si>
    <t>Kostes</t>
  </si>
  <si>
    <t>Bruto Marge</t>
  </si>
  <si>
    <t>Marge/Bermarkte Kg</t>
  </si>
  <si>
    <t>Produktiewe Ooie</t>
  </si>
  <si>
    <t>Jong ooie</t>
  </si>
  <si>
    <t>Ramme</t>
  </si>
  <si>
    <t>Lammers Bemark</t>
  </si>
  <si>
    <t>Lammers Gespeen</t>
  </si>
  <si>
    <t>Voerkalk</t>
  </si>
  <si>
    <t>Produksie</t>
  </si>
  <si>
    <t>MultivaxP</t>
  </si>
  <si>
    <t>Bloutong</t>
  </si>
  <si>
    <t>MDB maxicare</t>
  </si>
  <si>
    <t>Koste/Skaap</t>
  </si>
  <si>
    <t>Per skaap</t>
  </si>
  <si>
    <t>Per Bemarkte Lam</t>
  </si>
  <si>
    <t>Min: Uitskot Ooie</t>
  </si>
  <si>
    <t>Totaal per Lam</t>
  </si>
  <si>
    <t>Per Lam</t>
  </si>
  <si>
    <t>Aantal Skape</t>
  </si>
  <si>
    <t>Marge/Bermarkte Lam</t>
  </si>
  <si>
    <t>Na Uitskot Ooie</t>
  </si>
  <si>
    <t>Uitskot Ooie</t>
  </si>
  <si>
    <t>Koste/lam</t>
  </si>
  <si>
    <t>Koste/Kg</t>
  </si>
  <si>
    <t>Marge/kg</t>
  </si>
  <si>
    <t>Verandering</t>
  </si>
  <si>
    <t>Basis</t>
  </si>
  <si>
    <t>Nuwe</t>
  </si>
  <si>
    <t>Speen %</t>
  </si>
  <si>
    <t>Speen Kg</t>
  </si>
  <si>
    <t>Ja</t>
  </si>
  <si>
    <t>Nee</t>
  </si>
  <si>
    <t>Ooie</t>
  </si>
  <si>
    <t>Produksie kostes - Skaap</t>
  </si>
  <si>
    <t>Vaste Koste</t>
  </si>
  <si>
    <t>Huur/Verband koste (R/ha/jaar)</t>
  </si>
  <si>
    <t>Weiding Benodig</t>
  </si>
  <si>
    <t>Koste Per Jaar</t>
  </si>
  <si>
    <t>Finale Marge</t>
  </si>
  <si>
    <t>Drakrag (ha/KVE)</t>
  </si>
  <si>
    <t>Veranderlike Kostes (Na Uitskot Ooie)</t>
  </si>
  <si>
    <t>Vervangings Persentasie</t>
  </si>
  <si>
    <t>Persentasie Ramme</t>
  </si>
  <si>
    <t>Speen Persentasie</t>
  </si>
  <si>
    <t>Lek en Voer Gegewens</t>
  </si>
  <si>
    <t>Produktiewe Ooie (Aantal)</t>
  </si>
  <si>
    <t>Speen Gewig (Kg)</t>
  </si>
  <si>
    <t>Uitskot Ooie Karkas Gewig (Kg)</t>
  </si>
  <si>
    <t>Aankoop Grootte (bv. 50 kg)</t>
  </si>
  <si>
    <t>Aankoop Prys (R)</t>
  </si>
  <si>
    <t>Inname (kg/dier/dag)</t>
  </si>
  <si>
    <t>Tydperk (Dae)</t>
  </si>
  <si>
    <t>Bestandeel 1 Hoeveelheid (kg)</t>
  </si>
  <si>
    <t>Bestandeel 1 Prys (R/50kg)</t>
  </si>
  <si>
    <t>Bestandeel 2 Hoeveelheid (kg)</t>
  </si>
  <si>
    <t>Bestandeel 2 Prys (R/50kg)</t>
  </si>
  <si>
    <t>Bestandeel 3 Prys (R/50kg)</t>
  </si>
  <si>
    <t>Bestandeel 3 Hoeveelheid (kg)</t>
  </si>
  <si>
    <t>Bestandeel 4 Hoeveelheid (kg)</t>
  </si>
  <si>
    <t>Bestandeel 4 Prys (R/50kg)</t>
  </si>
  <si>
    <t>Doseer en Ent Gegewens</t>
  </si>
  <si>
    <t>Aankoop prys</t>
  </si>
  <si>
    <t>Dosisse</t>
  </si>
  <si>
    <t>Medikament 1 Prys (R/bottel)</t>
  </si>
  <si>
    <t>Medikament 1 Hoveelheid (Dosisse/bottel)</t>
  </si>
  <si>
    <t>Medikament 2 Hoveelheid (Dosisse/bottel)</t>
  </si>
  <si>
    <t>Medikament 2 Prys (R/bottel)</t>
  </si>
  <si>
    <t>Medikament 3 Hoveelheid (Dosisse/bottel)</t>
  </si>
  <si>
    <t>Medikament 3 Prys (R/bottel)</t>
  </si>
  <si>
    <t>Medikament 4 Hoveelheid (Dosisse/bottel)</t>
  </si>
  <si>
    <t>Medikament 4 Prys (R/bottel)</t>
  </si>
  <si>
    <t>Arbeid Prys (R/Arbeider/Maand)</t>
  </si>
  <si>
    <t>Arbeid Hoeveelheid (Aantal Werkers)</t>
  </si>
  <si>
    <t>Oorhoofse Koste (% van Tot. Veranderlike Kostes)</t>
  </si>
  <si>
    <t>Stoorlam Prys (R/kg)</t>
  </si>
  <si>
    <t>C Graad Karkas Pys (R/kg)</t>
  </si>
  <si>
    <t>Huur/Verband Koste (R/ha/jaar)</t>
  </si>
  <si>
    <t>Fisiese Afvoere</t>
  </si>
  <si>
    <t>Jong Ooie</t>
  </si>
  <si>
    <t>Totale Aantal Skaap</t>
  </si>
  <si>
    <t>Lek en Voer Afvoere</t>
  </si>
  <si>
    <t>Winterlek Koste (R/Dier)</t>
  </si>
  <si>
    <t>Somerlek Koste (R/Dier)</t>
  </si>
  <si>
    <t>Winterlek Koste (R/kg)</t>
  </si>
  <si>
    <t>Somerlek Koste (R/kg)</t>
  </si>
  <si>
    <t>Kruipvoer Koste (R/kg)</t>
  </si>
  <si>
    <t>Kruipvoer Koste (R/Lam)</t>
  </si>
  <si>
    <t>Doseer en Ent Afvoere</t>
  </si>
  <si>
    <t>Medikament 1 (R/Dier)</t>
  </si>
  <si>
    <t>Medikament 2 (R/Dier)</t>
  </si>
  <si>
    <t>Medikament 3 (R/Dier)</t>
  </si>
  <si>
    <t>Medikament 4 (R/Dier)</t>
  </si>
  <si>
    <t>Totaal Per Dier</t>
  </si>
  <si>
    <t>Totale Veranderlike Kostes</t>
  </si>
  <si>
    <t>Totaal / Bemarkte Lam</t>
  </si>
  <si>
    <t>Totaal / Bemarkte Kg</t>
  </si>
  <si>
    <t>Totaal / Lam</t>
  </si>
  <si>
    <t>Totaal / Kg</t>
  </si>
  <si>
    <t>Marge voor Vaste Koste</t>
  </si>
  <si>
    <t>Totale Lammers Bemark</t>
  </si>
  <si>
    <t>Inkomste / Lam</t>
  </si>
  <si>
    <t>Min: Kostes</t>
  </si>
  <si>
    <t>Weiding Benodig (Ha)</t>
  </si>
  <si>
    <t>Huur/Verband Koste per Jaar</t>
  </si>
  <si>
    <t>Netto Marge</t>
  </si>
  <si>
    <t>Min:  Vaste Koste</t>
  </si>
  <si>
    <t>Bruto Marge/Bemarkte Lam</t>
  </si>
  <si>
    <t>Bruto Marge/Bemarkte Kg</t>
  </si>
  <si>
    <t>Netto Marge/Bemarkbare Lam</t>
  </si>
  <si>
    <t>Netto Marge/Bemarkbare Kg</t>
  </si>
  <si>
    <t>Marges</t>
  </si>
  <si>
    <t>Invoere</t>
  </si>
  <si>
    <t>Verander asseblief die waardes na gelang van u boerdery omstandighede</t>
  </si>
  <si>
    <t>Kostes en Marges</t>
  </si>
  <si>
    <t>Al die betrokke waardes is berekenings en moet dus nie verander word nie</t>
  </si>
  <si>
    <r>
      <t xml:space="preserve">"Click" op </t>
    </r>
    <r>
      <rPr>
        <u/>
        <sz val="18"/>
        <color theme="1"/>
        <rFont val="Calibri"/>
        <family val="2"/>
        <scheme val="minor"/>
      </rPr>
      <t>Invoere</t>
    </r>
    <r>
      <rPr>
        <sz val="18"/>
        <color theme="1"/>
        <rFont val="Calibri"/>
        <family val="2"/>
        <scheme val="minor"/>
      </rPr>
      <t xml:space="preserve"> indien u van die Invoere wil verander</t>
    </r>
  </si>
  <si>
    <r>
      <t xml:space="preserve">"Click" op </t>
    </r>
    <r>
      <rPr>
        <u/>
        <sz val="18"/>
        <color theme="1"/>
        <rFont val="Calibri"/>
        <family val="2"/>
        <scheme val="minor"/>
      </rPr>
      <t>Marges</t>
    </r>
    <r>
      <rPr>
        <sz val="18"/>
        <color theme="1"/>
        <rFont val="Calibri"/>
        <family val="2"/>
        <scheme val="minor"/>
      </rPr>
      <t xml:space="preserve"> om u na die Koste en Marge berekenings te neem</t>
    </r>
  </si>
  <si>
    <t>Ander Kostes en Inkomstes</t>
  </si>
  <si>
    <t>Ander Inkomste (bv Wol)</t>
  </si>
  <si>
    <t>Ander Kostes en Inkomste</t>
  </si>
  <si>
    <t>Ander Inkomste</t>
  </si>
  <si>
    <t>Ander Koste en Inkoste Afvoere</t>
  </si>
  <si>
    <t>Arbeid Koste per Jaar</t>
  </si>
  <si>
    <t>Oorhoofse Koste per Jaar</t>
  </si>
</sst>
</file>

<file path=xl/styles.xml><?xml version="1.0" encoding="utf-8"?>
<styleSheet xmlns="http://schemas.openxmlformats.org/spreadsheetml/2006/main">
  <numFmts count="4">
    <numFmt numFmtId="6" formatCode="&quot;R&quot;\ #,##0;[Red]&quot;R&quot;\ \-#,##0"/>
    <numFmt numFmtId="8" formatCode="&quot;R&quot;\ #,##0.00;[Red]&quot;R&quot;\ \-#,##0.00"/>
    <numFmt numFmtId="164" formatCode="&quot;R&quot;\ #,##0.00"/>
    <numFmt numFmtId="165" formatCode="&quot;R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24"/>
      <name val="Calibri"/>
      <family val="2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9" fontId="0" fillId="0" borderId="1" xfId="0" applyNumberFormat="1" applyBorder="1"/>
    <xf numFmtId="6" fontId="2" fillId="0" borderId="1" xfId="0" applyNumberFormat="1" applyFont="1" applyBorder="1"/>
    <xf numFmtId="6" fontId="0" fillId="0" borderId="1" xfId="0" applyNumberFormat="1" applyBorder="1"/>
    <xf numFmtId="8" fontId="0" fillId="0" borderId="1" xfId="0" applyNumberFormat="1" applyBorder="1"/>
    <xf numFmtId="165" fontId="0" fillId="0" borderId="1" xfId="0" applyNumberFormat="1" applyBorder="1"/>
    <xf numFmtId="0" fontId="0" fillId="0" borderId="1" xfId="0" applyFill="1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6" fontId="0" fillId="0" borderId="6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0" fillId="0" borderId="5" xfId="0" applyFill="1" applyBorder="1"/>
    <xf numFmtId="8" fontId="0" fillId="0" borderId="8" xfId="0" applyNumberFormat="1" applyBorder="1"/>
    <xf numFmtId="0" fontId="1" fillId="0" borderId="5" xfId="0" applyFont="1" applyFill="1" applyBorder="1"/>
    <xf numFmtId="0" fontId="1" fillId="0" borderId="7" xfId="0" applyFont="1" applyBorder="1"/>
    <xf numFmtId="165" fontId="0" fillId="0" borderId="8" xfId="0" applyNumberFormat="1" applyBorder="1"/>
    <xf numFmtId="0" fontId="1" fillId="0" borderId="3" xfId="0" applyFont="1" applyBorder="1"/>
    <xf numFmtId="0" fontId="1" fillId="0" borderId="4" xfId="0" applyFont="1" applyBorder="1"/>
    <xf numFmtId="164" fontId="0" fillId="0" borderId="6" xfId="0" applyNumberFormat="1" applyBorder="1"/>
    <xf numFmtId="0" fontId="0" fillId="2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8" xfId="0" applyNumberFormat="1" applyFill="1" applyBorder="1"/>
    <xf numFmtId="164" fontId="0" fillId="0" borderId="9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13" xfId="0" applyFont="1" applyFill="1" applyBorder="1"/>
    <xf numFmtId="0" fontId="0" fillId="2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4" fontId="0" fillId="0" borderId="14" xfId="0" applyNumberFormat="1" applyFill="1" applyBorder="1"/>
    <xf numFmtId="164" fontId="0" fillId="0" borderId="15" xfId="0" applyNumberFormat="1" applyBorder="1"/>
    <xf numFmtId="0" fontId="0" fillId="0" borderId="5" xfId="0" applyFont="1" applyBorder="1"/>
    <xf numFmtId="0" fontId="0" fillId="0" borderId="1" xfId="0" applyFont="1" applyBorder="1"/>
    <xf numFmtId="164" fontId="0" fillId="0" borderId="6" xfId="0" applyNumberFormat="1" applyFont="1" applyBorder="1"/>
    <xf numFmtId="0" fontId="0" fillId="0" borderId="6" xfId="0" applyFont="1" applyBorder="1"/>
    <xf numFmtId="1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165" fontId="0" fillId="0" borderId="9" xfId="0" applyNumberFormat="1" applyFont="1" applyBorder="1"/>
    <xf numFmtId="0" fontId="0" fillId="0" borderId="0" xfId="0" applyFont="1"/>
    <xf numFmtId="8" fontId="0" fillId="0" borderId="6" xfId="0" applyNumberFormat="1" applyFont="1" applyBorder="1"/>
    <xf numFmtId="165" fontId="0" fillId="0" borderId="6" xfId="0" applyNumberFormat="1" applyFont="1" applyBorder="1"/>
    <xf numFmtId="0" fontId="0" fillId="0" borderId="0" xfId="0" applyFill="1"/>
    <xf numFmtId="1" fontId="0" fillId="0" borderId="1" xfId="0" applyNumberFormat="1" applyBorder="1"/>
    <xf numFmtId="1" fontId="0" fillId="0" borderId="8" xfId="0" applyNumberFormat="1" applyBorder="1"/>
    <xf numFmtId="8" fontId="0" fillId="0" borderId="6" xfId="0" applyNumberFormat="1" applyBorder="1"/>
    <xf numFmtId="8" fontId="0" fillId="0" borderId="9" xfId="0" applyNumberFormat="1" applyBorder="1"/>
    <xf numFmtId="0" fontId="0" fillId="0" borderId="6" xfId="0" applyFill="1" applyBorder="1"/>
    <xf numFmtId="0" fontId="0" fillId="4" borderId="5" xfId="0" applyFill="1" applyBorder="1"/>
    <xf numFmtId="9" fontId="0" fillId="4" borderId="6" xfId="0" applyNumberFormat="1" applyFill="1" applyBorder="1"/>
    <xf numFmtId="9" fontId="0" fillId="0" borderId="6" xfId="0" applyNumberFormat="1" applyFill="1" applyBorder="1"/>
    <xf numFmtId="1" fontId="0" fillId="0" borderId="6" xfId="0" applyNumberFormat="1" applyFill="1" applyBorder="1"/>
    <xf numFmtId="164" fontId="0" fillId="4" borderId="6" xfId="0" applyNumberFormat="1" applyFill="1" applyBorder="1"/>
    <xf numFmtId="6" fontId="0" fillId="4" borderId="6" xfId="0" applyNumberForma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6" fontId="0" fillId="0" borderId="6" xfId="0" applyNumberFormat="1" applyFill="1" applyBorder="1" applyAlignment="1">
      <alignment horizontal="left"/>
    </xf>
    <xf numFmtId="0" fontId="0" fillId="4" borderId="6" xfId="0" applyFill="1" applyBorder="1"/>
    <xf numFmtId="6" fontId="0" fillId="4" borderId="6" xfId="0" applyNumberFormat="1" applyFill="1" applyBorder="1"/>
    <xf numFmtId="0" fontId="2" fillId="0" borderId="5" xfId="0" applyFont="1" applyFill="1" applyBorder="1"/>
    <xf numFmtId="6" fontId="2" fillId="0" borderId="6" xfId="0" applyNumberFormat="1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0" fillId="0" borderId="5" xfId="0" applyBorder="1" applyAlignment="1">
      <alignment horizontal="left"/>
    </xf>
    <xf numFmtId="8" fontId="0" fillId="0" borderId="6" xfId="0" applyNumberFormat="1" applyFont="1" applyBorder="1" applyAlignment="1">
      <alignment horizontal="right"/>
    </xf>
    <xf numFmtId="8" fontId="0" fillId="4" borderId="6" xfId="0" applyNumberFormat="1" applyFill="1" applyBorder="1"/>
    <xf numFmtId="165" fontId="0" fillId="4" borderId="6" xfId="0" applyNumberFormat="1" applyFill="1" applyBorder="1"/>
    <xf numFmtId="1" fontId="0" fillId="0" borderId="6" xfId="0" applyNumberFormat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8" borderId="1" xfId="0" applyFill="1" applyBorder="1"/>
    <xf numFmtId="0" fontId="0" fillId="8" borderId="0" xfId="0" applyFill="1"/>
    <xf numFmtId="165" fontId="0" fillId="8" borderId="1" xfId="0" applyNumberFormat="1" applyFill="1" applyBorder="1"/>
    <xf numFmtId="0" fontId="5" fillId="7" borderId="16" xfId="1" applyFont="1" applyFill="1" applyBorder="1" applyAlignment="1" applyProtection="1">
      <alignment horizontal="center" vertical="center"/>
    </xf>
    <xf numFmtId="0" fontId="5" fillId="7" borderId="17" xfId="1" applyFont="1" applyFill="1" applyBorder="1" applyAlignment="1" applyProtection="1">
      <alignment horizontal="center" vertical="center"/>
    </xf>
    <xf numFmtId="0" fontId="5" fillId="7" borderId="18" xfId="1" applyFont="1" applyFill="1" applyBorder="1" applyAlignment="1" applyProtection="1">
      <alignment horizontal="center" vertical="center"/>
    </xf>
    <xf numFmtId="0" fontId="5" fillId="7" borderId="19" xfId="1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66CCFF"/>
      <color rgb="FF99FF99"/>
      <color rgb="FFFFCC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opLeftCell="A28" workbookViewId="0">
      <selection activeCell="G51" sqref="G51"/>
    </sheetView>
  </sheetViews>
  <sheetFormatPr defaultRowHeight="15"/>
  <cols>
    <col min="2" max="2" width="46.28515625" bestFit="1" customWidth="1"/>
    <col min="3" max="3" width="12.5703125" style="1" customWidth="1"/>
    <col min="5" max="5" width="9.140625" style="1" customWidth="1"/>
    <col min="6" max="6" width="9.140625" style="1"/>
  </cols>
  <sheetData>
    <row r="1" spans="1:8" s="1" customFormat="1" ht="15.75" thickBot="1"/>
    <row r="2" spans="1:8" s="1" customFormat="1" ht="15.75" thickTop="1">
      <c r="B2" s="93" t="s">
        <v>153</v>
      </c>
      <c r="C2" s="94"/>
    </row>
    <row r="3" spans="1:8" s="1" customFormat="1" ht="15.75" thickBot="1">
      <c r="B3" s="95"/>
      <c r="C3" s="96"/>
    </row>
    <row r="4" spans="1:8" ht="16.5" thickTop="1" thickBot="1">
      <c r="A4" s="1"/>
      <c r="B4" s="1"/>
      <c r="D4" s="1"/>
      <c r="G4" s="1"/>
    </row>
    <row r="5" spans="1:8" ht="15.75" thickTop="1">
      <c r="A5" s="1"/>
      <c r="B5" s="116" t="s">
        <v>3</v>
      </c>
      <c r="C5" s="117"/>
      <c r="D5" s="1"/>
      <c r="E5" s="97" t="s">
        <v>154</v>
      </c>
      <c r="F5" s="98"/>
      <c r="G5" s="98"/>
      <c r="H5" s="99"/>
    </row>
    <row r="6" spans="1:8">
      <c r="A6" s="1"/>
      <c r="B6" s="20" t="s">
        <v>87</v>
      </c>
      <c r="C6" s="63">
        <v>400</v>
      </c>
      <c r="D6" s="1"/>
      <c r="E6" s="100"/>
      <c r="F6" s="101"/>
      <c r="G6" s="101"/>
      <c r="H6" s="102"/>
    </row>
    <row r="7" spans="1:8">
      <c r="A7" s="1"/>
      <c r="B7" s="64" t="s">
        <v>84</v>
      </c>
      <c r="C7" s="65">
        <v>0.03</v>
      </c>
      <c r="D7" s="1"/>
      <c r="E7" s="100"/>
      <c r="F7" s="101"/>
      <c r="G7" s="101"/>
      <c r="H7" s="102"/>
    </row>
    <row r="8" spans="1:8">
      <c r="A8" s="1"/>
      <c r="B8" s="20" t="s">
        <v>83</v>
      </c>
      <c r="C8" s="66">
        <v>0.25</v>
      </c>
      <c r="D8" s="1"/>
      <c r="E8" s="100"/>
      <c r="F8" s="101"/>
      <c r="G8" s="101"/>
      <c r="H8" s="102"/>
    </row>
    <row r="9" spans="1:8">
      <c r="A9" s="1"/>
      <c r="B9" s="64" t="s">
        <v>85</v>
      </c>
      <c r="C9" s="65">
        <v>0.7</v>
      </c>
      <c r="D9" s="1"/>
      <c r="E9" s="100"/>
      <c r="F9" s="101"/>
      <c r="G9" s="101"/>
      <c r="H9" s="102"/>
    </row>
    <row r="10" spans="1:8" ht="15.75" thickBot="1">
      <c r="A10" s="1"/>
      <c r="B10" s="20" t="s">
        <v>88</v>
      </c>
      <c r="C10" s="67">
        <v>30</v>
      </c>
      <c r="D10" s="1"/>
      <c r="E10" s="103"/>
      <c r="F10" s="104"/>
      <c r="G10" s="104"/>
      <c r="H10" s="105"/>
    </row>
    <row r="11" spans="1:8" s="1" customFormat="1" ht="15.75" thickTop="1">
      <c r="B11" s="64" t="s">
        <v>116</v>
      </c>
      <c r="C11" s="68">
        <v>25</v>
      </c>
    </row>
    <row r="12" spans="1:8">
      <c r="A12" s="1"/>
      <c r="B12" s="20" t="s">
        <v>89</v>
      </c>
      <c r="C12" s="67">
        <v>33</v>
      </c>
      <c r="D12" s="1"/>
      <c r="G12" s="1"/>
    </row>
    <row r="13" spans="1:8" s="1" customFormat="1">
      <c r="B13" s="64" t="s">
        <v>117</v>
      </c>
      <c r="C13" s="68">
        <v>37.5</v>
      </c>
    </row>
    <row r="14" spans="1:8" ht="15.75" thickBot="1">
      <c r="A14" s="1"/>
      <c r="B14" s="112"/>
      <c r="C14" s="113"/>
      <c r="D14" s="1"/>
      <c r="G14" s="1"/>
    </row>
    <row r="15" spans="1:8">
      <c r="A15" s="1"/>
      <c r="B15" s="116" t="s">
        <v>86</v>
      </c>
      <c r="C15" s="117"/>
      <c r="D15" s="1"/>
      <c r="G15" s="1"/>
    </row>
    <row r="16" spans="1:8">
      <c r="A16" s="1"/>
      <c r="B16" s="30" t="s">
        <v>4</v>
      </c>
      <c r="C16" s="63"/>
      <c r="D16" s="1"/>
      <c r="G16" s="1"/>
    </row>
    <row r="17" spans="1:7">
      <c r="A17" s="1"/>
      <c r="B17" s="20" t="s">
        <v>90</v>
      </c>
      <c r="C17" s="63">
        <v>50</v>
      </c>
      <c r="D17" s="1"/>
      <c r="G17" s="1"/>
    </row>
    <row r="18" spans="1:7">
      <c r="A18" s="1"/>
      <c r="B18" s="64" t="s">
        <v>91</v>
      </c>
      <c r="C18" s="69">
        <v>161</v>
      </c>
      <c r="D18" s="1"/>
      <c r="G18" s="1"/>
    </row>
    <row r="19" spans="1:7">
      <c r="A19" s="1"/>
      <c r="B19" s="20" t="s">
        <v>92</v>
      </c>
      <c r="C19" s="70">
        <v>0.25</v>
      </c>
      <c r="D19" s="1"/>
      <c r="G19" s="1"/>
    </row>
    <row r="20" spans="1:7">
      <c r="A20" s="1"/>
      <c r="B20" s="64" t="s">
        <v>93</v>
      </c>
      <c r="C20" s="71">
        <v>180</v>
      </c>
      <c r="D20" s="1"/>
      <c r="G20" s="1"/>
    </row>
    <row r="21" spans="1:7">
      <c r="A21" s="1"/>
      <c r="B21" s="114"/>
      <c r="C21" s="115"/>
      <c r="D21" s="1"/>
      <c r="G21" s="1"/>
    </row>
    <row r="22" spans="1:7">
      <c r="A22" s="1"/>
      <c r="B22" s="18" t="s">
        <v>35</v>
      </c>
      <c r="C22" s="22"/>
      <c r="D22" s="1"/>
      <c r="G22" s="1"/>
    </row>
    <row r="23" spans="1:7">
      <c r="A23" s="1"/>
      <c r="B23" s="20" t="s">
        <v>90</v>
      </c>
      <c r="C23" s="63">
        <v>25</v>
      </c>
      <c r="D23" s="1"/>
      <c r="G23" s="1"/>
    </row>
    <row r="24" spans="1:7">
      <c r="A24" s="1"/>
      <c r="B24" s="64" t="s">
        <v>91</v>
      </c>
      <c r="C24" s="69">
        <v>106</v>
      </c>
      <c r="D24" s="1"/>
      <c r="F24" s="58"/>
      <c r="G24" s="1"/>
    </row>
    <row r="25" spans="1:7">
      <c r="A25" s="1"/>
      <c r="B25" s="20" t="s">
        <v>92</v>
      </c>
      <c r="C25" s="70">
        <v>2.5000000000000001E-2</v>
      </c>
      <c r="D25" s="1"/>
      <c r="G25" s="1"/>
    </row>
    <row r="26" spans="1:7">
      <c r="A26" s="1"/>
      <c r="B26" s="64" t="s">
        <v>93</v>
      </c>
      <c r="C26" s="71">
        <v>180</v>
      </c>
      <c r="D26" s="1"/>
      <c r="G26" s="1"/>
    </row>
    <row r="27" spans="1:7">
      <c r="A27" s="1"/>
      <c r="B27" s="114"/>
      <c r="C27" s="115"/>
      <c r="D27" s="1"/>
      <c r="G27" s="1"/>
    </row>
    <row r="28" spans="1:7">
      <c r="A28" s="1"/>
      <c r="B28" s="18" t="s">
        <v>12</v>
      </c>
      <c r="C28" s="22"/>
      <c r="D28" s="1"/>
      <c r="G28" s="1"/>
    </row>
    <row r="29" spans="1:7">
      <c r="A29" s="1"/>
      <c r="B29" s="20" t="s">
        <v>94</v>
      </c>
      <c r="C29" s="63">
        <v>700</v>
      </c>
      <c r="D29" s="1"/>
      <c r="G29" s="1"/>
    </row>
    <row r="30" spans="1:7">
      <c r="A30" s="1"/>
      <c r="B30" s="20" t="s">
        <v>95</v>
      </c>
      <c r="C30" s="72">
        <v>88</v>
      </c>
      <c r="D30" s="1"/>
      <c r="G30" s="1"/>
    </row>
    <row r="31" spans="1:7">
      <c r="A31" s="1"/>
      <c r="B31" s="64" t="s">
        <v>96</v>
      </c>
      <c r="C31" s="73">
        <v>200</v>
      </c>
      <c r="D31" s="1"/>
      <c r="G31" s="1"/>
    </row>
    <row r="32" spans="1:7">
      <c r="A32" s="1"/>
      <c r="B32" s="64" t="s">
        <v>97</v>
      </c>
      <c r="C32" s="69">
        <v>181</v>
      </c>
      <c r="D32" s="1"/>
      <c r="G32" s="1"/>
    </row>
    <row r="33" spans="1:8">
      <c r="A33" s="1"/>
      <c r="B33" s="20" t="s">
        <v>99</v>
      </c>
      <c r="C33" s="63">
        <v>100</v>
      </c>
      <c r="D33" s="1"/>
      <c r="G33" s="1"/>
    </row>
    <row r="34" spans="1:8">
      <c r="A34" s="58"/>
      <c r="B34" s="20" t="s">
        <v>98</v>
      </c>
      <c r="C34" s="72">
        <v>253</v>
      </c>
      <c r="D34" s="1"/>
      <c r="G34" s="1"/>
      <c r="H34" s="58"/>
    </row>
    <row r="35" spans="1:8">
      <c r="A35" s="1"/>
      <c r="B35" s="64" t="s">
        <v>100</v>
      </c>
      <c r="C35" s="73">
        <v>3</v>
      </c>
      <c r="D35" s="1"/>
      <c r="G35" s="1"/>
    </row>
    <row r="36" spans="1:8">
      <c r="A36" s="1"/>
      <c r="B36" s="64" t="s">
        <v>101</v>
      </c>
      <c r="C36" s="69">
        <v>38</v>
      </c>
      <c r="D36" s="1"/>
      <c r="G36" s="1"/>
    </row>
    <row r="37" spans="1:8">
      <c r="A37" s="1"/>
      <c r="B37" s="20" t="s">
        <v>92</v>
      </c>
      <c r="C37" s="70">
        <v>0.6</v>
      </c>
      <c r="D37" s="1"/>
      <c r="G37" s="1"/>
    </row>
    <row r="38" spans="1:8">
      <c r="A38" s="1"/>
      <c r="B38" s="64" t="s">
        <v>93</v>
      </c>
      <c r="C38" s="71">
        <v>80</v>
      </c>
      <c r="D38" s="1"/>
      <c r="G38" s="1"/>
    </row>
    <row r="39" spans="1:8" ht="15.75" thickBot="1">
      <c r="A39" s="1"/>
      <c r="B39" s="110"/>
      <c r="C39" s="111"/>
      <c r="D39" s="1"/>
      <c r="G39" s="1"/>
    </row>
    <row r="40" spans="1:8">
      <c r="A40" s="1"/>
      <c r="B40" s="106" t="s">
        <v>102</v>
      </c>
      <c r="C40" s="118"/>
      <c r="D40" s="1"/>
      <c r="G40" s="1"/>
    </row>
    <row r="41" spans="1:8">
      <c r="A41" s="1"/>
      <c r="B41" s="28" t="s">
        <v>106</v>
      </c>
      <c r="C41" s="63">
        <v>100</v>
      </c>
      <c r="D41" s="1"/>
      <c r="G41" s="1"/>
    </row>
    <row r="42" spans="1:8">
      <c r="A42" s="1"/>
      <c r="B42" s="20" t="s">
        <v>105</v>
      </c>
      <c r="C42" s="72">
        <v>1452</v>
      </c>
      <c r="D42" s="1"/>
      <c r="G42" s="1"/>
    </row>
    <row r="43" spans="1:8">
      <c r="A43" s="1"/>
      <c r="B43" s="64" t="s">
        <v>107</v>
      </c>
      <c r="C43" s="73">
        <v>100</v>
      </c>
      <c r="D43" s="1"/>
      <c r="G43" s="1"/>
    </row>
    <row r="44" spans="1:8">
      <c r="A44" s="1"/>
      <c r="B44" s="64" t="s">
        <v>108</v>
      </c>
      <c r="C44" s="69">
        <v>339</v>
      </c>
      <c r="D44" s="1"/>
      <c r="G44" s="1"/>
    </row>
    <row r="45" spans="1:8">
      <c r="A45" s="1"/>
      <c r="B45" s="28" t="s">
        <v>109</v>
      </c>
      <c r="C45" s="63">
        <v>100</v>
      </c>
      <c r="D45" s="1"/>
      <c r="G45" s="1"/>
    </row>
    <row r="46" spans="1:8">
      <c r="A46" s="1"/>
      <c r="B46" s="20" t="s">
        <v>110</v>
      </c>
      <c r="C46" s="72">
        <v>276</v>
      </c>
      <c r="D46" s="1"/>
      <c r="G46" s="1"/>
    </row>
    <row r="47" spans="1:8">
      <c r="A47" s="1"/>
      <c r="B47" s="64" t="s">
        <v>111</v>
      </c>
      <c r="C47" s="73">
        <v>100</v>
      </c>
      <c r="D47" s="1"/>
      <c r="G47" s="1"/>
    </row>
    <row r="48" spans="1:8">
      <c r="A48" s="1"/>
      <c r="B48" s="64" t="s">
        <v>112</v>
      </c>
      <c r="C48" s="69">
        <v>176</v>
      </c>
      <c r="D48" s="1"/>
      <c r="G48" s="1"/>
    </row>
    <row r="49" spans="1:8" ht="15.75" thickBot="1">
      <c r="A49" s="1"/>
      <c r="B49" s="112"/>
      <c r="C49" s="113"/>
      <c r="D49" s="1"/>
      <c r="G49" s="1"/>
    </row>
    <row r="50" spans="1:8">
      <c r="A50" s="1"/>
      <c r="B50" s="106" t="s">
        <v>159</v>
      </c>
      <c r="C50" s="107"/>
      <c r="D50" s="1"/>
      <c r="G50" s="1"/>
    </row>
    <row r="51" spans="1:8">
      <c r="B51" s="28" t="s">
        <v>114</v>
      </c>
      <c r="C51" s="63">
        <v>2</v>
      </c>
    </row>
    <row r="52" spans="1:8">
      <c r="B52" s="64" t="s">
        <v>113</v>
      </c>
      <c r="C52" s="74">
        <v>1376</v>
      </c>
    </row>
    <row r="53" spans="1:8">
      <c r="B53" s="28" t="s">
        <v>115</v>
      </c>
      <c r="C53" s="66">
        <v>0.1</v>
      </c>
    </row>
    <row r="54" spans="1:8" s="1" customFormat="1">
      <c r="B54" s="84" t="s">
        <v>160</v>
      </c>
      <c r="C54" s="85">
        <v>50000</v>
      </c>
    </row>
    <row r="55" spans="1:8" ht="15.75" thickBot="1">
      <c r="B55" s="112"/>
      <c r="C55" s="113"/>
    </row>
    <row r="56" spans="1:8" ht="15.75" thickTop="1">
      <c r="B56" s="108" t="s">
        <v>76</v>
      </c>
      <c r="C56" s="109"/>
      <c r="E56" s="97" t="s">
        <v>158</v>
      </c>
      <c r="F56" s="98"/>
      <c r="G56" s="98"/>
      <c r="H56" s="99"/>
    </row>
    <row r="57" spans="1:8">
      <c r="B57" s="75" t="s">
        <v>118</v>
      </c>
      <c r="C57" s="76">
        <v>300</v>
      </c>
      <c r="E57" s="100"/>
      <c r="F57" s="101"/>
      <c r="G57" s="101"/>
      <c r="H57" s="102"/>
    </row>
    <row r="58" spans="1:8" ht="15.75" thickBot="1">
      <c r="B58" s="77" t="s">
        <v>81</v>
      </c>
      <c r="C58" s="78">
        <v>0.7</v>
      </c>
      <c r="E58" s="100"/>
      <c r="F58" s="101"/>
      <c r="G58" s="101"/>
      <c r="H58" s="102"/>
    </row>
    <row r="59" spans="1:8" ht="15.75" thickBot="1">
      <c r="E59" s="100"/>
      <c r="F59" s="101"/>
      <c r="G59" s="101"/>
      <c r="H59" s="102"/>
    </row>
    <row r="60" spans="1:8" ht="15.75" thickTop="1">
      <c r="B60" s="89" t="s">
        <v>152</v>
      </c>
      <c r="C60" s="90"/>
      <c r="E60" s="100"/>
      <c r="F60" s="101"/>
      <c r="G60" s="101"/>
      <c r="H60" s="102"/>
    </row>
    <row r="61" spans="1:8" ht="15.75" thickBot="1">
      <c r="B61" s="91"/>
      <c r="C61" s="92"/>
      <c r="E61" s="103"/>
      <c r="F61" s="104"/>
      <c r="G61" s="104"/>
      <c r="H61" s="105"/>
    </row>
    <row r="62" spans="1:8" ht="15.75" thickTop="1"/>
  </sheetData>
  <mergeCells count="15">
    <mergeCell ref="B60:C61"/>
    <mergeCell ref="B2:C3"/>
    <mergeCell ref="E5:H10"/>
    <mergeCell ref="E56:H61"/>
    <mergeCell ref="B50:C50"/>
    <mergeCell ref="B56:C56"/>
    <mergeCell ref="B39:C39"/>
    <mergeCell ref="B49:C49"/>
    <mergeCell ref="B55:C55"/>
    <mergeCell ref="B14:C14"/>
    <mergeCell ref="B21:C21"/>
    <mergeCell ref="B27:C27"/>
    <mergeCell ref="B5:C5"/>
    <mergeCell ref="B15:C15"/>
    <mergeCell ref="B40:C40"/>
  </mergeCells>
  <hyperlinks>
    <hyperlink ref="B60:C61" location="Marges!A1" display="Marg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topLeftCell="A13" workbookViewId="0">
      <selection activeCell="N42" sqref="N42"/>
    </sheetView>
  </sheetViews>
  <sheetFormatPr defaultRowHeight="15"/>
  <cols>
    <col min="1" max="1" width="17.5703125" bestFit="1" customWidth="1"/>
    <col min="2" max="2" width="12.42578125" bestFit="1" customWidth="1"/>
    <col min="3" max="3" width="8.140625" bestFit="1" customWidth="1"/>
    <col min="4" max="4" width="7" bestFit="1" customWidth="1"/>
    <col min="6" max="6" width="10.42578125" customWidth="1"/>
    <col min="8" max="8" width="21" bestFit="1" customWidth="1"/>
    <col min="9" max="9" width="9.42578125" bestFit="1" customWidth="1"/>
    <col min="10" max="10" width="11.5703125" bestFit="1" customWidth="1"/>
    <col min="11" max="11" width="14.85546875" bestFit="1" customWidth="1"/>
    <col min="14" max="14" width="41.28515625" bestFit="1" customWidth="1"/>
    <col min="15" max="15" width="9.5703125" bestFit="1" customWidth="1"/>
    <col min="16" max="16" width="12.28515625" bestFit="1" customWidth="1"/>
    <col min="17" max="17" width="9" bestFit="1" customWidth="1"/>
    <col min="18" max="18" width="9.5703125" bestFit="1" customWidth="1"/>
    <col min="19" max="19" width="12" bestFit="1" customWidth="1"/>
  </cols>
  <sheetData>
    <row r="1" spans="1:19" s="1" customFormat="1" ht="15.75" thickBot="1">
      <c r="A1" s="125" t="s">
        <v>75</v>
      </c>
      <c r="B1" s="126"/>
      <c r="C1" s="126"/>
      <c r="D1" s="127"/>
    </row>
    <row r="2" spans="1:19" s="1" customFormat="1" ht="15.75" thickBot="1"/>
    <row r="3" spans="1:19">
      <c r="A3" s="119" t="s">
        <v>3</v>
      </c>
      <c r="B3" s="122"/>
      <c r="C3" s="122"/>
      <c r="D3" s="123"/>
      <c r="H3" s="119" t="s">
        <v>20</v>
      </c>
      <c r="I3" s="122"/>
      <c r="J3" s="122"/>
      <c r="K3" s="123"/>
      <c r="N3" s="124"/>
      <c r="O3" s="120"/>
      <c r="P3" s="120"/>
      <c r="Q3" s="33" t="s">
        <v>65</v>
      </c>
      <c r="R3" s="33" t="s">
        <v>66</v>
      </c>
      <c r="S3" s="34" t="s">
        <v>67</v>
      </c>
    </row>
    <row r="4" spans="1:19">
      <c r="A4" s="20" t="s">
        <v>60</v>
      </c>
      <c r="B4" s="4"/>
      <c r="C4" s="4">
        <f>C6+C7+C8</f>
        <v>512</v>
      </c>
      <c r="D4" s="22"/>
      <c r="H4" s="18"/>
      <c r="I4" s="4" t="s">
        <v>104</v>
      </c>
      <c r="J4" s="4" t="s">
        <v>55</v>
      </c>
      <c r="K4" s="22" t="s">
        <v>103</v>
      </c>
      <c r="N4" s="20"/>
      <c r="O4" s="5" t="s">
        <v>68</v>
      </c>
      <c r="P4" s="9" t="s">
        <v>69</v>
      </c>
      <c r="Q4" s="6">
        <v>14.53</v>
      </c>
      <c r="R4" s="6">
        <v>10.47</v>
      </c>
      <c r="S4" s="22">
        <v>0</v>
      </c>
    </row>
    <row r="5" spans="1:19">
      <c r="A5" s="20"/>
      <c r="B5" s="4"/>
      <c r="C5" s="4"/>
      <c r="D5" s="22"/>
      <c r="H5" s="20" t="s">
        <v>51</v>
      </c>
      <c r="I5" s="4">
        <f>Invoere!C41</f>
        <v>100</v>
      </c>
      <c r="J5" s="8">
        <f>K5/I5</f>
        <v>14.52</v>
      </c>
      <c r="K5" s="23">
        <f>Invoere!C42</f>
        <v>1452</v>
      </c>
      <c r="N5" s="18" t="s">
        <v>74</v>
      </c>
      <c r="O5" s="7">
        <v>400</v>
      </c>
      <c r="P5" s="10">
        <v>200</v>
      </c>
      <c r="Q5" s="11">
        <v>21.26</v>
      </c>
      <c r="R5" s="11">
        <v>3.74</v>
      </c>
      <c r="S5" s="35">
        <f>$Q$4-Q5</f>
        <v>-6.7300000000000022</v>
      </c>
    </row>
    <row r="6" spans="1:19">
      <c r="A6" s="20" t="s">
        <v>44</v>
      </c>
      <c r="B6" s="4"/>
      <c r="C6" s="4">
        <f>Invoere!C6</f>
        <v>400</v>
      </c>
      <c r="D6" s="22"/>
      <c r="H6" s="20" t="s">
        <v>19</v>
      </c>
      <c r="I6" s="4">
        <f>Invoere!C43</f>
        <v>100</v>
      </c>
      <c r="J6" s="8">
        <f t="shared" ref="J6:J7" si="0">K6/I6</f>
        <v>3.39</v>
      </c>
      <c r="K6" s="23">
        <f>Invoere!C44</f>
        <v>339</v>
      </c>
      <c r="N6" s="18" t="s">
        <v>70</v>
      </c>
      <c r="O6" s="7">
        <v>70</v>
      </c>
      <c r="P6" s="10">
        <v>60</v>
      </c>
      <c r="Q6" s="11">
        <v>17.21</v>
      </c>
      <c r="R6" s="11">
        <v>7.79</v>
      </c>
      <c r="S6" s="35">
        <f>$Q$4-Q6</f>
        <v>-2.6800000000000015</v>
      </c>
    </row>
    <row r="7" spans="1:19">
      <c r="A7" s="20" t="s">
        <v>45</v>
      </c>
      <c r="B7" s="12">
        <f>Invoere!C8</f>
        <v>0.25</v>
      </c>
      <c r="C7" s="4">
        <f>C6*B7</f>
        <v>100</v>
      </c>
      <c r="D7" s="22"/>
      <c r="H7" s="20" t="s">
        <v>52</v>
      </c>
      <c r="I7" s="4">
        <f>Invoere!C45</f>
        <v>100</v>
      </c>
      <c r="J7" s="8">
        <f t="shared" si="0"/>
        <v>2.76</v>
      </c>
      <c r="K7" s="23">
        <f>Invoere!C46</f>
        <v>276</v>
      </c>
      <c r="N7" s="18" t="s">
        <v>71</v>
      </c>
      <c r="O7" s="7">
        <v>30</v>
      </c>
      <c r="P7" s="10">
        <v>25</v>
      </c>
      <c r="Q7" s="11">
        <v>17.440000000000001</v>
      </c>
      <c r="R7" s="11">
        <v>7.56</v>
      </c>
      <c r="S7" s="35">
        <f>$Q$4-Q7</f>
        <v>-2.9100000000000019</v>
      </c>
    </row>
    <row r="8" spans="1:19">
      <c r="A8" s="20" t="s">
        <v>46</v>
      </c>
      <c r="B8" s="12">
        <f>Invoere!C7</f>
        <v>0.03</v>
      </c>
      <c r="C8" s="4">
        <f>C6*B8</f>
        <v>12</v>
      </c>
      <c r="D8" s="22"/>
      <c r="H8" s="20" t="s">
        <v>53</v>
      </c>
      <c r="I8" s="4">
        <f>Invoere!C47</f>
        <v>100</v>
      </c>
      <c r="J8" s="8">
        <f>K8/I8</f>
        <v>1.76</v>
      </c>
      <c r="K8" s="23">
        <f>Invoere!C48</f>
        <v>176</v>
      </c>
      <c r="N8" s="18" t="s">
        <v>12</v>
      </c>
      <c r="O8" s="7" t="s">
        <v>72</v>
      </c>
      <c r="P8" s="10" t="s">
        <v>73</v>
      </c>
      <c r="Q8" s="11">
        <v>7.79</v>
      </c>
      <c r="R8" s="11">
        <v>17.21</v>
      </c>
      <c r="S8" s="35">
        <f>$Q$4-Q8</f>
        <v>6.7399999999999993</v>
      </c>
    </row>
    <row r="9" spans="1:19" ht="15.75" thickBot="1">
      <c r="A9" s="20"/>
      <c r="B9" s="4"/>
      <c r="C9" s="4"/>
      <c r="D9" s="22"/>
      <c r="H9" s="24" t="s">
        <v>54</v>
      </c>
      <c r="I9" s="25"/>
      <c r="J9" s="26">
        <f>SUM(J5:J8)</f>
        <v>22.430000000000003</v>
      </c>
      <c r="K9" s="27"/>
      <c r="N9" s="31" t="s">
        <v>21</v>
      </c>
      <c r="O9" s="36">
        <v>2</v>
      </c>
      <c r="P9" s="37">
        <v>3</v>
      </c>
      <c r="Q9" s="38">
        <v>17.89</v>
      </c>
      <c r="R9" s="38">
        <v>7.11</v>
      </c>
      <c r="S9" s="39">
        <f>$Q$4-Q9</f>
        <v>-3.3600000000000012</v>
      </c>
    </row>
    <row r="10" spans="1:19" ht="15.75" thickBot="1">
      <c r="A10" s="20" t="s">
        <v>48</v>
      </c>
      <c r="B10" s="12">
        <f>Invoere!C9</f>
        <v>0.7</v>
      </c>
      <c r="C10" s="4">
        <f>C6*B10</f>
        <v>280</v>
      </c>
      <c r="D10" s="22"/>
      <c r="H10" s="2"/>
      <c r="I10" s="1"/>
      <c r="J10" s="1"/>
      <c r="K10" s="1"/>
      <c r="N10" s="40"/>
      <c r="O10" s="40"/>
      <c r="P10" s="40"/>
      <c r="Q10" s="40"/>
      <c r="R10" s="40"/>
      <c r="S10" s="41"/>
    </row>
    <row r="11" spans="1:19" ht="15.75" thickBot="1">
      <c r="A11" s="20" t="s">
        <v>47</v>
      </c>
      <c r="B11" s="4"/>
      <c r="C11" s="4">
        <f>C10-(B7*C6)</f>
        <v>180</v>
      </c>
      <c r="D11" s="22"/>
      <c r="H11" s="119" t="s">
        <v>161</v>
      </c>
      <c r="I11" s="122"/>
      <c r="J11" s="122"/>
      <c r="K11" s="123"/>
      <c r="N11" s="42" t="s">
        <v>70</v>
      </c>
      <c r="O11" s="43">
        <v>70</v>
      </c>
      <c r="P11" s="44">
        <v>100</v>
      </c>
      <c r="Q11" s="45">
        <v>12.8</v>
      </c>
      <c r="R11" s="45">
        <v>12.2</v>
      </c>
      <c r="S11" s="46">
        <f>$Q$4-Q11</f>
        <v>1.7299999999999986</v>
      </c>
    </row>
    <row r="12" spans="1:19">
      <c r="A12" s="20" t="s">
        <v>0</v>
      </c>
      <c r="B12" s="4" t="s">
        <v>1</v>
      </c>
      <c r="C12" s="59">
        <f>Invoere!C10</f>
        <v>30</v>
      </c>
      <c r="D12" s="22"/>
      <c r="H12" s="20"/>
      <c r="I12" s="3" t="s">
        <v>22</v>
      </c>
      <c r="J12" s="3" t="s">
        <v>27</v>
      </c>
      <c r="K12" s="19" t="s">
        <v>23</v>
      </c>
    </row>
    <row r="13" spans="1:19" ht="15.75" thickBot="1">
      <c r="A13" s="20"/>
      <c r="B13" s="4"/>
      <c r="C13" s="4"/>
      <c r="D13" s="22"/>
      <c r="H13" s="30" t="s">
        <v>21</v>
      </c>
      <c r="I13" s="4">
        <f>Invoere!C51</f>
        <v>2</v>
      </c>
      <c r="J13" s="16">
        <f>(K13*I13)*12</f>
        <v>33024</v>
      </c>
      <c r="K13" s="21">
        <f>Invoere!C52</f>
        <v>1376</v>
      </c>
      <c r="N13" s="1"/>
      <c r="O13" s="1"/>
      <c r="P13" s="1"/>
    </row>
    <row r="14" spans="1:19">
      <c r="A14" s="20" t="s">
        <v>63</v>
      </c>
      <c r="B14" s="12">
        <f>B7</f>
        <v>0.25</v>
      </c>
      <c r="C14" s="4">
        <f>C6*B14</f>
        <v>100</v>
      </c>
      <c r="D14" s="22"/>
      <c r="H14" s="20"/>
      <c r="I14" s="4"/>
      <c r="J14" s="4"/>
      <c r="K14" s="22"/>
      <c r="N14" s="128" t="s">
        <v>76</v>
      </c>
      <c r="O14" s="129"/>
      <c r="P14" s="130"/>
    </row>
    <row r="15" spans="1:19" ht="15.75" thickBot="1">
      <c r="A15" s="24" t="s">
        <v>2</v>
      </c>
      <c r="B15" s="25" t="s">
        <v>1</v>
      </c>
      <c r="C15" s="60">
        <f>Invoere!C12</f>
        <v>33</v>
      </c>
      <c r="D15" s="27"/>
      <c r="H15" s="20"/>
      <c r="I15" s="3" t="s">
        <v>25</v>
      </c>
      <c r="J15" s="3" t="s">
        <v>26</v>
      </c>
      <c r="K15" s="22"/>
      <c r="N15" s="47" t="s">
        <v>77</v>
      </c>
      <c r="O15" s="48"/>
      <c r="P15" s="49">
        <f>Invoere!C57</f>
        <v>300</v>
      </c>
    </row>
    <row r="16" spans="1:19" ht="15.75" thickBot="1">
      <c r="H16" s="18" t="s">
        <v>24</v>
      </c>
      <c r="I16" s="12">
        <f>Invoere!C53</f>
        <v>0.1</v>
      </c>
      <c r="J16" s="16">
        <f>((C24*C4)+(C45*C10)+((C4+C10)*J9)+J13)*(I16)</f>
        <v>15799.822061814557</v>
      </c>
      <c r="K16" s="22"/>
      <c r="N16" s="47"/>
      <c r="O16" s="48"/>
      <c r="P16" s="50"/>
    </row>
    <row r="17" spans="1:16">
      <c r="A17" s="119" t="s">
        <v>11</v>
      </c>
      <c r="B17" s="122"/>
      <c r="C17" s="122"/>
      <c r="D17" s="123"/>
      <c r="H17" s="20" t="s">
        <v>162</v>
      </c>
      <c r="I17" s="4"/>
      <c r="J17" s="8">
        <f>Invoere!C54</f>
        <v>50000</v>
      </c>
      <c r="K17" s="22"/>
      <c r="N17" s="20" t="s">
        <v>81</v>
      </c>
      <c r="O17" s="48"/>
      <c r="P17" s="50">
        <f>Invoere!C58</f>
        <v>0.7</v>
      </c>
    </row>
    <row r="18" spans="1:16" ht="15.75" thickBot="1">
      <c r="A18" s="18" t="s">
        <v>4</v>
      </c>
      <c r="B18" s="3" t="s">
        <v>16</v>
      </c>
      <c r="C18" s="3" t="s">
        <v>6</v>
      </c>
      <c r="D18" s="19" t="s">
        <v>17</v>
      </c>
      <c r="H18" s="31" t="s">
        <v>32</v>
      </c>
      <c r="I18" s="25"/>
      <c r="J18" s="32">
        <f>J13+J16-J17</f>
        <v>-1176.1779381854431</v>
      </c>
      <c r="K18" s="27"/>
      <c r="N18" s="47" t="s">
        <v>78</v>
      </c>
      <c r="O18" s="48"/>
      <c r="P18" s="51">
        <f>P17*C4</f>
        <v>358.4</v>
      </c>
    </row>
    <row r="19" spans="1:16" ht="15.75" thickBot="1">
      <c r="A19" s="20" t="s">
        <v>50</v>
      </c>
      <c r="B19" s="4">
        <f>Invoere!C17</f>
        <v>50</v>
      </c>
      <c r="C19" s="13">
        <f>D19</f>
        <v>161</v>
      </c>
      <c r="D19" s="21">
        <f>Invoere!C18</f>
        <v>161</v>
      </c>
      <c r="H19" s="1"/>
      <c r="I19" s="1"/>
      <c r="J19" s="1"/>
      <c r="K19" s="1"/>
      <c r="N19" s="47"/>
      <c r="O19" s="48"/>
      <c r="P19" s="50"/>
    </row>
    <row r="20" spans="1:16" ht="15.75" thickBot="1">
      <c r="A20" s="20" t="s">
        <v>6</v>
      </c>
      <c r="B20" s="4" t="s">
        <v>18</v>
      </c>
      <c r="C20" s="15">
        <f>C19/B19</f>
        <v>3.22</v>
      </c>
      <c r="D20" s="22"/>
      <c r="H20" s="119" t="s">
        <v>28</v>
      </c>
      <c r="I20" s="122"/>
      <c r="J20" s="122"/>
      <c r="K20" s="123"/>
      <c r="N20" s="52" t="s">
        <v>79</v>
      </c>
      <c r="O20" s="53"/>
      <c r="P20" s="54">
        <f>P15*P18</f>
        <v>107520</v>
      </c>
    </row>
    <row r="21" spans="1:16">
      <c r="A21" s="20"/>
      <c r="B21" s="4"/>
      <c r="C21" s="15"/>
      <c r="D21" s="22"/>
      <c r="H21" s="20" t="s">
        <v>29</v>
      </c>
      <c r="I21" s="4"/>
      <c r="J21" s="16">
        <f>(C34*(C4+C14))+(C45*C10)</f>
        <v>133376.62061814556</v>
      </c>
      <c r="K21" s="22"/>
      <c r="N21" s="55"/>
      <c r="O21" s="55"/>
      <c r="P21" s="55"/>
    </row>
    <row r="22" spans="1:16" ht="15.75" thickBot="1">
      <c r="A22" s="20" t="s">
        <v>5</v>
      </c>
      <c r="B22" s="4" t="s">
        <v>7</v>
      </c>
      <c r="C22" s="4">
        <f>Invoere!C19</f>
        <v>0.25</v>
      </c>
      <c r="D22" s="22"/>
      <c r="H22" s="20" t="s">
        <v>30</v>
      </c>
      <c r="I22" s="4"/>
      <c r="J22" s="16">
        <f>J9*(C4+C10+C14)</f>
        <v>20007.560000000001</v>
      </c>
      <c r="K22" s="22"/>
      <c r="N22" s="55"/>
      <c r="O22" s="55"/>
      <c r="P22" s="55"/>
    </row>
    <row r="23" spans="1:16">
      <c r="A23" s="20" t="s">
        <v>8</v>
      </c>
      <c r="B23" s="4" t="s">
        <v>9</v>
      </c>
      <c r="C23" s="4">
        <f>Invoere!C20</f>
        <v>180</v>
      </c>
      <c r="D23" s="22"/>
      <c r="H23" s="28" t="s">
        <v>31</v>
      </c>
      <c r="I23" s="4"/>
      <c r="J23" s="16">
        <f>J18</f>
        <v>-1176.1779381854431</v>
      </c>
      <c r="K23" s="22"/>
      <c r="N23" s="128" t="s">
        <v>80</v>
      </c>
      <c r="O23" s="129"/>
      <c r="P23" s="130"/>
    </row>
    <row r="24" spans="1:16">
      <c r="A24" s="20" t="s">
        <v>10</v>
      </c>
      <c r="B24" s="4"/>
      <c r="C24" s="15">
        <f>C20*C22*C23</f>
        <v>144.9</v>
      </c>
      <c r="D24" s="22"/>
      <c r="H24" s="28" t="s">
        <v>32</v>
      </c>
      <c r="I24" s="4"/>
      <c r="J24" s="16">
        <f>SUM(J21:J23)</f>
        <v>152208.0026799601</v>
      </c>
      <c r="K24" s="22"/>
      <c r="N24" s="47" t="s">
        <v>40</v>
      </c>
      <c r="O24" s="48"/>
      <c r="P24" s="56">
        <f>J38</f>
        <v>135000</v>
      </c>
    </row>
    <row r="25" spans="1:16">
      <c r="A25" s="20"/>
      <c r="B25" s="4"/>
      <c r="C25" s="15"/>
      <c r="D25" s="22"/>
      <c r="H25" s="20"/>
      <c r="I25" s="4"/>
      <c r="J25" s="4"/>
      <c r="K25" s="22"/>
      <c r="N25" s="47"/>
      <c r="O25" s="48"/>
      <c r="P25" s="50"/>
    </row>
    <row r="26" spans="1:16" s="1" customFormat="1">
      <c r="A26" s="18" t="s">
        <v>35</v>
      </c>
      <c r="B26" s="3" t="s">
        <v>16</v>
      </c>
      <c r="C26" s="3" t="s">
        <v>6</v>
      </c>
      <c r="D26" s="19" t="s">
        <v>38</v>
      </c>
      <c r="H26" s="20" t="s">
        <v>56</v>
      </c>
      <c r="I26" s="4"/>
      <c r="J26" s="8">
        <f>J24/C11</f>
        <v>845.60001488866726</v>
      </c>
      <c r="K26" s="22"/>
      <c r="N26" s="20" t="s">
        <v>82</v>
      </c>
      <c r="O26" s="48"/>
      <c r="P26" s="57">
        <f>J42</f>
        <v>28458.002679960104</v>
      </c>
    </row>
    <row r="27" spans="1:16" s="1" customFormat="1">
      <c r="A27" s="20" t="s">
        <v>36</v>
      </c>
      <c r="B27" s="4">
        <f>Invoere!C23</f>
        <v>25</v>
      </c>
      <c r="C27" s="13">
        <f>D27</f>
        <v>106</v>
      </c>
      <c r="D27" s="21">
        <f>Invoere!C24</f>
        <v>106</v>
      </c>
      <c r="H27" s="20" t="s">
        <v>33</v>
      </c>
      <c r="I27" s="4"/>
      <c r="J27" s="8">
        <f>J26/C12</f>
        <v>28.186667162955576</v>
      </c>
      <c r="K27" s="22"/>
      <c r="N27" s="47"/>
      <c r="O27" s="48"/>
      <c r="P27" s="50"/>
    </row>
    <row r="28" spans="1:16" s="1" customFormat="1">
      <c r="A28" s="20" t="s">
        <v>6</v>
      </c>
      <c r="B28" s="4" t="s">
        <v>18</v>
      </c>
      <c r="C28" s="15">
        <f>C27/B27</f>
        <v>4.24</v>
      </c>
      <c r="D28" s="22"/>
      <c r="H28" s="20"/>
      <c r="I28" s="4"/>
      <c r="J28" s="4"/>
      <c r="K28" s="22"/>
      <c r="N28" s="47" t="s">
        <v>76</v>
      </c>
      <c r="O28" s="48"/>
      <c r="P28" s="57">
        <f>P20</f>
        <v>107520</v>
      </c>
    </row>
    <row r="29" spans="1:16" s="1" customFormat="1">
      <c r="A29" s="20"/>
      <c r="B29" s="4"/>
      <c r="C29" s="15"/>
      <c r="D29" s="22"/>
      <c r="H29" s="20" t="s">
        <v>57</v>
      </c>
      <c r="I29" s="4"/>
      <c r="J29" s="4"/>
      <c r="K29" s="22"/>
      <c r="N29" s="47"/>
      <c r="O29" s="48"/>
      <c r="P29" s="50"/>
    </row>
    <row r="30" spans="1:16" s="1" customFormat="1">
      <c r="A30" s="20" t="s">
        <v>5</v>
      </c>
      <c r="B30" s="4" t="s">
        <v>7</v>
      </c>
      <c r="C30" s="4">
        <f>Invoere!C25</f>
        <v>2.5000000000000001E-2</v>
      </c>
      <c r="D30" s="22"/>
      <c r="H30" s="20" t="s">
        <v>18</v>
      </c>
      <c r="I30" s="15">
        <f>Invoere!C13</f>
        <v>37.5</v>
      </c>
      <c r="J30" s="14">
        <f>C14*C15*I30</f>
        <v>123750</v>
      </c>
      <c r="K30" s="22"/>
      <c r="N30" s="47" t="s">
        <v>80</v>
      </c>
      <c r="O30" s="48"/>
      <c r="P30" s="56">
        <f>P24-P26-P28</f>
        <v>-978.00267996010371</v>
      </c>
    </row>
    <row r="31" spans="1:16" s="1" customFormat="1">
      <c r="A31" s="20" t="s">
        <v>8</v>
      </c>
      <c r="B31" s="4" t="s">
        <v>9</v>
      </c>
      <c r="C31" s="4">
        <f>Invoere!C26</f>
        <v>180</v>
      </c>
      <c r="D31" s="22"/>
      <c r="H31" s="20"/>
      <c r="I31" s="4"/>
      <c r="J31" s="4"/>
      <c r="K31" s="22"/>
      <c r="N31" s="20" t="s">
        <v>150</v>
      </c>
      <c r="O31" s="4"/>
      <c r="P31" s="61">
        <f>P30/C11</f>
        <v>-5.4333482220005758</v>
      </c>
    </row>
    <row r="32" spans="1:16" s="1" customFormat="1" ht="15.75" thickBot="1">
      <c r="A32" s="20" t="s">
        <v>10</v>
      </c>
      <c r="B32" s="4"/>
      <c r="C32" s="15">
        <f>C28*C30*C31</f>
        <v>19.080000000000002</v>
      </c>
      <c r="D32" s="22"/>
      <c r="H32" s="20" t="s">
        <v>58</v>
      </c>
      <c r="I32" s="4"/>
      <c r="J32" s="8">
        <f>(J24-J30)/C11</f>
        <v>158.10001488866723</v>
      </c>
      <c r="K32" s="22"/>
      <c r="N32" s="24" t="s">
        <v>151</v>
      </c>
      <c r="O32" s="25"/>
      <c r="P32" s="62">
        <f>P31/C12</f>
        <v>-0.18111160740001919</v>
      </c>
    </row>
    <row r="33" spans="1:16" s="1" customFormat="1" ht="15.75" thickBot="1">
      <c r="A33" s="20"/>
      <c r="B33" s="4"/>
      <c r="C33" s="4"/>
      <c r="D33" s="22"/>
      <c r="H33" s="24" t="s">
        <v>34</v>
      </c>
      <c r="I33" s="25"/>
      <c r="J33" s="26">
        <f>J32/C12</f>
        <v>5.2700004962889073</v>
      </c>
      <c r="K33" s="27"/>
      <c r="N33"/>
      <c r="O33"/>
      <c r="P33"/>
    </row>
    <row r="34" spans="1:16" s="1" customFormat="1" ht="15.75" thickBot="1">
      <c r="A34" s="18" t="s">
        <v>37</v>
      </c>
      <c r="B34" s="4"/>
      <c r="C34" s="15">
        <f>C24+C32</f>
        <v>163.98000000000002</v>
      </c>
      <c r="D34" s="22"/>
      <c r="N34"/>
      <c r="O34"/>
      <c r="P34"/>
    </row>
    <row r="35" spans="1:16" s="1" customFormat="1">
      <c r="A35" s="20"/>
      <c r="B35" s="4"/>
      <c r="C35" s="4"/>
      <c r="D35" s="22"/>
      <c r="H35" s="119" t="s">
        <v>39</v>
      </c>
      <c r="I35" s="120"/>
      <c r="J35" s="120"/>
      <c r="K35" s="121"/>
      <c r="N35"/>
      <c r="O35"/>
      <c r="P35"/>
    </row>
    <row r="36" spans="1:16" s="1" customFormat="1">
      <c r="A36" s="18" t="s">
        <v>12</v>
      </c>
      <c r="B36" s="3" t="s">
        <v>16</v>
      </c>
      <c r="C36" s="3" t="s">
        <v>6</v>
      </c>
      <c r="D36" s="19" t="s">
        <v>17</v>
      </c>
      <c r="H36" s="18" t="s">
        <v>40</v>
      </c>
      <c r="I36" s="4"/>
      <c r="J36" s="4"/>
      <c r="K36" s="22"/>
      <c r="N36"/>
      <c r="O36"/>
      <c r="P36"/>
    </row>
    <row r="37" spans="1:16" s="1" customFormat="1">
      <c r="A37" s="20" t="s">
        <v>13</v>
      </c>
      <c r="B37" s="4">
        <f>Invoere!C29</f>
        <v>700</v>
      </c>
      <c r="C37" s="16">
        <f>(D37/50)*B37</f>
        <v>1232</v>
      </c>
      <c r="D37" s="23">
        <f>Invoere!C30</f>
        <v>88</v>
      </c>
      <c r="F37"/>
      <c r="G37"/>
      <c r="H37" s="20" t="s">
        <v>47</v>
      </c>
      <c r="I37" s="4"/>
      <c r="J37" s="4"/>
      <c r="K37" s="22"/>
      <c r="N37"/>
      <c r="O37"/>
      <c r="P37"/>
    </row>
    <row r="38" spans="1:16" s="1" customFormat="1">
      <c r="A38" s="20" t="s">
        <v>14</v>
      </c>
      <c r="B38" s="4">
        <f>Invoere!C31</f>
        <v>200</v>
      </c>
      <c r="C38" s="16">
        <f t="shared" ref="C38:C40" si="1">(D38/50)*B38</f>
        <v>724</v>
      </c>
      <c r="D38" s="23">
        <f>Invoere!C32</f>
        <v>181</v>
      </c>
      <c r="F38"/>
      <c r="G38"/>
      <c r="H38" s="28" t="s">
        <v>18</v>
      </c>
      <c r="I38" s="15">
        <f>Invoere!C11</f>
        <v>25</v>
      </c>
      <c r="J38" s="15">
        <f>I38*C11*C12</f>
        <v>135000</v>
      </c>
      <c r="K38" s="22"/>
      <c r="N38"/>
      <c r="O38"/>
      <c r="P38"/>
    </row>
    <row r="39" spans="1:16">
      <c r="A39" s="20" t="s">
        <v>15</v>
      </c>
      <c r="B39" s="4">
        <f>Invoere!C33</f>
        <v>100</v>
      </c>
      <c r="C39" s="16">
        <f t="shared" si="1"/>
        <v>505.99999999999994</v>
      </c>
      <c r="D39" s="23">
        <f>Invoere!C34</f>
        <v>253</v>
      </c>
      <c r="H39" s="28" t="s">
        <v>59</v>
      </c>
      <c r="I39" s="4"/>
      <c r="J39" s="15">
        <f>J38/C11</f>
        <v>750</v>
      </c>
      <c r="K39" s="22"/>
    </row>
    <row r="40" spans="1:16" s="1" customFormat="1">
      <c r="A40" s="20" t="s">
        <v>49</v>
      </c>
      <c r="B40" s="17">
        <f>Invoere!C35</f>
        <v>3</v>
      </c>
      <c r="C40" s="16">
        <f t="shared" si="1"/>
        <v>2.2800000000000002</v>
      </c>
      <c r="D40" s="23">
        <f>Invoere!C36</f>
        <v>38</v>
      </c>
      <c r="H40" s="20"/>
      <c r="I40" s="4"/>
      <c r="J40" s="4"/>
      <c r="K40" s="22"/>
      <c r="N40"/>
      <c r="O40"/>
      <c r="P40"/>
    </row>
    <row r="41" spans="1:16">
      <c r="A41" s="20" t="s">
        <v>6</v>
      </c>
      <c r="B41" s="4" t="s">
        <v>18</v>
      </c>
      <c r="C41" s="8">
        <f>SUM(C37:C40)/SUM(B37:B40)</f>
        <v>2.45690927218345</v>
      </c>
      <c r="D41" s="22"/>
      <c r="H41" s="18" t="s">
        <v>41</v>
      </c>
      <c r="I41" s="4"/>
      <c r="J41" s="4"/>
      <c r="K41" s="22"/>
    </row>
    <row r="42" spans="1:16">
      <c r="A42" s="20"/>
      <c r="B42" s="4"/>
      <c r="C42" s="4"/>
      <c r="D42" s="22"/>
      <c r="H42" s="20" t="s">
        <v>62</v>
      </c>
      <c r="I42" s="4"/>
      <c r="J42" s="16">
        <f>J24-J30</f>
        <v>28458.002679960104</v>
      </c>
      <c r="K42" s="22"/>
    </row>
    <row r="43" spans="1:16">
      <c r="A43" s="20" t="s">
        <v>5</v>
      </c>
      <c r="B43" s="4" t="s">
        <v>7</v>
      </c>
      <c r="C43" s="4">
        <f>Invoere!C37</f>
        <v>0.6</v>
      </c>
      <c r="D43" s="22"/>
      <c r="H43" s="20"/>
      <c r="I43" s="4"/>
      <c r="J43" s="4"/>
      <c r="K43" s="22"/>
    </row>
    <row r="44" spans="1:16">
      <c r="A44" s="20" t="s">
        <v>8</v>
      </c>
      <c r="B44" s="4" t="s">
        <v>9</v>
      </c>
      <c r="C44" s="4">
        <f>Invoere!C38</f>
        <v>80</v>
      </c>
      <c r="D44" s="22"/>
      <c r="H44" s="20" t="s">
        <v>42</v>
      </c>
      <c r="I44" s="4"/>
      <c r="J44" s="15">
        <f>J38-J42</f>
        <v>106541.9973200399</v>
      </c>
      <c r="K44" s="22"/>
    </row>
    <row r="45" spans="1:16" ht="15.75" thickBot="1">
      <c r="A45" s="24" t="s">
        <v>64</v>
      </c>
      <c r="B45" s="25"/>
      <c r="C45" s="26">
        <f>C41*C43*C44</f>
        <v>117.93164506480559</v>
      </c>
      <c r="D45" s="27"/>
      <c r="H45" s="20" t="s">
        <v>61</v>
      </c>
      <c r="I45" s="4"/>
      <c r="J45" s="15">
        <f>J44/C11</f>
        <v>591.89998511133274</v>
      </c>
      <c r="K45" s="22"/>
    </row>
    <row r="46" spans="1:16" ht="15.75" thickBot="1">
      <c r="H46" s="24" t="s">
        <v>43</v>
      </c>
      <c r="I46" s="25"/>
      <c r="J46" s="29">
        <f>J45/C12</f>
        <v>19.729999503711092</v>
      </c>
      <c r="K46" s="27"/>
    </row>
  </sheetData>
  <mergeCells count="10">
    <mergeCell ref="H35:K35"/>
    <mergeCell ref="A3:D3"/>
    <mergeCell ref="A17:D17"/>
    <mergeCell ref="N3:P3"/>
    <mergeCell ref="A1:D1"/>
    <mergeCell ref="H3:K3"/>
    <mergeCell ref="H11:K11"/>
    <mergeCell ref="H20:K20"/>
    <mergeCell ref="N14:P14"/>
    <mergeCell ref="N23:P2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2" manualBreakCount="2">
    <brk id="7" max="46" man="1"/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H74"/>
  <sheetViews>
    <sheetView tabSelected="1" workbookViewId="0">
      <selection activeCell="B8" sqref="B8"/>
    </sheetView>
  </sheetViews>
  <sheetFormatPr defaultRowHeight="15"/>
  <cols>
    <col min="2" max="2" width="46.28515625" customWidth="1"/>
    <col min="3" max="3" width="12.42578125" bestFit="1" customWidth="1"/>
  </cols>
  <sheetData>
    <row r="1" spans="2:8" s="1" customFormat="1" ht="15.75" thickBot="1"/>
    <row r="2" spans="2:8" s="1" customFormat="1" ht="15.75" thickTop="1">
      <c r="B2" s="131" t="s">
        <v>155</v>
      </c>
      <c r="C2" s="132"/>
    </row>
    <row r="3" spans="2:8" s="1" customFormat="1" ht="15.75" thickBot="1">
      <c r="B3" s="133"/>
      <c r="C3" s="134"/>
    </row>
    <row r="4" spans="2:8" ht="16.5" thickTop="1" thickBot="1"/>
    <row r="5" spans="2:8" ht="15.75" thickTop="1">
      <c r="B5" s="106" t="s">
        <v>119</v>
      </c>
      <c r="C5" s="118"/>
      <c r="E5" s="97" t="s">
        <v>156</v>
      </c>
      <c r="F5" s="98"/>
      <c r="G5" s="98"/>
      <c r="H5" s="99"/>
    </row>
    <row r="6" spans="2:8">
      <c r="B6" s="20" t="s">
        <v>44</v>
      </c>
      <c r="C6" s="22">
        <f>Berekening!C6</f>
        <v>400</v>
      </c>
      <c r="E6" s="100"/>
      <c r="F6" s="101"/>
      <c r="G6" s="101"/>
      <c r="H6" s="102"/>
    </row>
    <row r="7" spans="2:8">
      <c r="B7" s="64" t="s">
        <v>120</v>
      </c>
      <c r="C7" s="73">
        <f>Berekening!C7</f>
        <v>100</v>
      </c>
      <c r="E7" s="100"/>
      <c r="F7" s="101"/>
      <c r="G7" s="101"/>
      <c r="H7" s="102"/>
    </row>
    <row r="8" spans="2:8">
      <c r="B8" s="20" t="s">
        <v>46</v>
      </c>
      <c r="C8" s="22">
        <f>Berekening!C8</f>
        <v>12</v>
      </c>
      <c r="E8" s="100"/>
      <c r="F8" s="101"/>
      <c r="G8" s="101"/>
      <c r="H8" s="102"/>
    </row>
    <row r="9" spans="2:8">
      <c r="B9" s="64" t="s">
        <v>121</v>
      </c>
      <c r="C9" s="73">
        <f>Berekening!C4</f>
        <v>512</v>
      </c>
      <c r="E9" s="100"/>
      <c r="F9" s="101"/>
      <c r="G9" s="101"/>
      <c r="H9" s="102"/>
    </row>
    <row r="10" spans="2:8" ht="15.75" thickBot="1">
      <c r="B10" s="20" t="s">
        <v>48</v>
      </c>
      <c r="C10" s="22">
        <f>Berekening!C10</f>
        <v>280</v>
      </c>
      <c r="E10" s="103"/>
      <c r="F10" s="104"/>
      <c r="G10" s="104"/>
      <c r="H10" s="105"/>
    </row>
    <row r="11" spans="2:8" ht="15.75" thickTop="1">
      <c r="B11" s="64" t="s">
        <v>47</v>
      </c>
      <c r="C11" s="73">
        <f>Berekening!C11</f>
        <v>180</v>
      </c>
    </row>
    <row r="12" spans="2:8">
      <c r="B12" s="20" t="s">
        <v>63</v>
      </c>
      <c r="C12" s="22">
        <f>Berekening!C14</f>
        <v>100</v>
      </c>
    </row>
    <row r="13" spans="2:8" ht="15.75" thickBot="1">
      <c r="B13" s="112"/>
      <c r="C13" s="113"/>
    </row>
    <row r="14" spans="2:8">
      <c r="B14" s="106" t="s">
        <v>122</v>
      </c>
      <c r="C14" s="118"/>
    </row>
    <row r="15" spans="2:8" s="1" customFormat="1">
      <c r="B15" s="79" t="s">
        <v>125</v>
      </c>
      <c r="C15" s="80">
        <f>Berekening!C20</f>
        <v>3.22</v>
      </c>
    </row>
    <row r="16" spans="2:8">
      <c r="B16" s="64" t="s">
        <v>123</v>
      </c>
      <c r="C16" s="81">
        <f>Berekening!C24</f>
        <v>144.9</v>
      </c>
    </row>
    <row r="17" spans="2:3" s="1" customFormat="1">
      <c r="B17" s="20" t="s">
        <v>126</v>
      </c>
      <c r="C17" s="61">
        <f>Berekening!C28</f>
        <v>4.24</v>
      </c>
    </row>
    <row r="18" spans="2:3">
      <c r="B18" s="64" t="s">
        <v>124</v>
      </c>
      <c r="C18" s="81">
        <f>Berekening!C32</f>
        <v>19.080000000000002</v>
      </c>
    </row>
    <row r="19" spans="2:3" s="1" customFormat="1">
      <c r="B19" s="20" t="s">
        <v>127</v>
      </c>
      <c r="C19" s="61">
        <f>Berekening!C41</f>
        <v>2.45690927218345</v>
      </c>
    </row>
    <row r="20" spans="2:3">
      <c r="B20" s="64" t="s">
        <v>128</v>
      </c>
      <c r="C20" s="68">
        <f>Berekening!C45</f>
        <v>117.93164506480559</v>
      </c>
    </row>
    <row r="21" spans="2:3" ht="15.75" thickBot="1">
      <c r="B21" s="112"/>
      <c r="C21" s="113"/>
    </row>
    <row r="22" spans="2:3">
      <c r="B22" s="106" t="s">
        <v>129</v>
      </c>
      <c r="C22" s="118"/>
    </row>
    <row r="23" spans="2:3">
      <c r="B23" s="20" t="s">
        <v>130</v>
      </c>
      <c r="C23" s="35">
        <f>Berekening!J5</f>
        <v>14.52</v>
      </c>
    </row>
    <row r="24" spans="2:3">
      <c r="B24" s="64" t="s">
        <v>131</v>
      </c>
      <c r="C24" s="68">
        <f>Berekening!J6</f>
        <v>3.39</v>
      </c>
    </row>
    <row r="25" spans="2:3">
      <c r="B25" s="20" t="s">
        <v>132</v>
      </c>
      <c r="C25" s="35">
        <f>Berekening!J7</f>
        <v>2.76</v>
      </c>
    </row>
    <row r="26" spans="2:3">
      <c r="B26" s="64" t="s">
        <v>133</v>
      </c>
      <c r="C26" s="68">
        <f>Berekening!J8</f>
        <v>1.76</v>
      </c>
    </row>
    <row r="27" spans="2:3">
      <c r="B27" s="20" t="s">
        <v>134</v>
      </c>
      <c r="C27" s="35">
        <f>Berekening!J9</f>
        <v>22.430000000000003</v>
      </c>
    </row>
    <row r="28" spans="2:3" ht="15.75" thickBot="1">
      <c r="B28" s="112"/>
      <c r="C28" s="113"/>
    </row>
    <row r="29" spans="2:3">
      <c r="B29" s="106" t="s">
        <v>163</v>
      </c>
      <c r="C29" s="118"/>
    </row>
    <row r="30" spans="2:3">
      <c r="B30" s="20" t="s">
        <v>164</v>
      </c>
      <c r="C30" s="23">
        <f>Berekening!J13</f>
        <v>33024</v>
      </c>
    </row>
    <row r="31" spans="2:3">
      <c r="B31" s="64" t="s">
        <v>165</v>
      </c>
      <c r="C31" s="82">
        <f>Berekening!J16</f>
        <v>15799.822061814557</v>
      </c>
    </row>
    <row r="32" spans="2:3" s="87" customFormat="1">
      <c r="B32" s="86" t="s">
        <v>160</v>
      </c>
      <c r="C32" s="88">
        <f>Berekening!J17</f>
        <v>50000</v>
      </c>
    </row>
    <row r="33" spans="2:3" ht="15.75" thickBot="1">
      <c r="B33" s="112"/>
      <c r="C33" s="113"/>
    </row>
    <row r="34" spans="2:3">
      <c r="B34" s="106" t="s">
        <v>135</v>
      </c>
      <c r="C34" s="118"/>
    </row>
    <row r="35" spans="2:3">
      <c r="B35" s="20" t="s">
        <v>29</v>
      </c>
      <c r="C35" s="23">
        <f>Berekening!J21</f>
        <v>133376.62061814556</v>
      </c>
    </row>
    <row r="36" spans="2:3">
      <c r="B36" s="64" t="s">
        <v>30</v>
      </c>
      <c r="C36" s="82">
        <f>Berekening!J22</f>
        <v>20007.560000000001</v>
      </c>
    </row>
    <row r="37" spans="2:3">
      <c r="B37" s="20" t="s">
        <v>31</v>
      </c>
      <c r="C37" s="23">
        <f>Berekening!J23</f>
        <v>-1176.1779381854431</v>
      </c>
    </row>
    <row r="38" spans="2:3">
      <c r="B38" s="64" t="s">
        <v>32</v>
      </c>
      <c r="C38" s="82">
        <f>Berekening!J24</f>
        <v>152208.0026799601</v>
      </c>
    </row>
    <row r="39" spans="2:3">
      <c r="B39" s="20" t="s">
        <v>136</v>
      </c>
      <c r="C39" s="23">
        <f>Berekening!J26</f>
        <v>845.60001488866726</v>
      </c>
    </row>
    <row r="40" spans="2:3">
      <c r="B40" s="64" t="s">
        <v>137</v>
      </c>
      <c r="C40" s="68">
        <f>Berekening!J27</f>
        <v>28.186667162955576</v>
      </c>
    </row>
    <row r="41" spans="2:3">
      <c r="B41" s="20"/>
      <c r="C41" s="35"/>
    </row>
    <row r="42" spans="2:3">
      <c r="B42" s="20" t="s">
        <v>57</v>
      </c>
      <c r="C42" s="23">
        <f>Berekening!J30</f>
        <v>123750</v>
      </c>
    </row>
    <row r="43" spans="2:3">
      <c r="B43" s="20"/>
      <c r="C43" s="35"/>
    </row>
    <row r="44" spans="2:3">
      <c r="B44" s="64" t="s">
        <v>138</v>
      </c>
      <c r="C44" s="82">
        <f>Berekening!J32</f>
        <v>158.10001488866723</v>
      </c>
    </row>
    <row r="45" spans="2:3">
      <c r="B45" s="20" t="s">
        <v>139</v>
      </c>
      <c r="C45" s="35">
        <f>Berekening!J33</f>
        <v>5.2700004962889073</v>
      </c>
    </row>
    <row r="46" spans="2:3" ht="15.75" thickBot="1">
      <c r="B46" s="112"/>
      <c r="C46" s="113"/>
    </row>
    <row r="47" spans="2:3">
      <c r="B47" s="106" t="s">
        <v>140</v>
      </c>
      <c r="C47" s="118"/>
    </row>
    <row r="48" spans="2:3">
      <c r="B48" s="20" t="s">
        <v>40</v>
      </c>
      <c r="C48" s="22"/>
    </row>
    <row r="49" spans="2:3">
      <c r="B49" s="64" t="s">
        <v>141</v>
      </c>
      <c r="C49" s="81">
        <f>Berekening!J38</f>
        <v>135000</v>
      </c>
    </row>
    <row r="50" spans="2:3">
      <c r="B50" s="20" t="s">
        <v>142</v>
      </c>
      <c r="C50" s="61">
        <f>Berekening!J39</f>
        <v>750</v>
      </c>
    </row>
    <row r="51" spans="2:3">
      <c r="B51" s="20"/>
      <c r="C51" s="22"/>
    </row>
    <row r="52" spans="2:3">
      <c r="B52" s="20" t="s">
        <v>143</v>
      </c>
      <c r="C52" s="22"/>
    </row>
    <row r="53" spans="2:3">
      <c r="B53" s="64" t="s">
        <v>62</v>
      </c>
      <c r="C53" s="82">
        <f>Berekening!J42</f>
        <v>28458.002679960104</v>
      </c>
    </row>
    <row r="54" spans="2:3">
      <c r="B54" s="20"/>
      <c r="C54" s="22"/>
    </row>
    <row r="55" spans="2:3">
      <c r="B55" s="20" t="s">
        <v>42</v>
      </c>
      <c r="C55" s="21">
        <f>Berekening!J44</f>
        <v>106541.9973200399</v>
      </c>
    </row>
    <row r="56" spans="2:3">
      <c r="B56" s="64" t="s">
        <v>148</v>
      </c>
      <c r="C56" s="81">
        <f>Berekening!J45</f>
        <v>591.89998511133274</v>
      </c>
    </row>
    <row r="57" spans="2:3">
      <c r="B57" s="20" t="s">
        <v>149</v>
      </c>
      <c r="C57" s="61">
        <f>Berekening!J46</f>
        <v>19.729999503711092</v>
      </c>
    </row>
    <row r="58" spans="2:3" ht="15.75" thickBot="1">
      <c r="B58" s="112"/>
      <c r="C58" s="113"/>
    </row>
    <row r="59" spans="2:3">
      <c r="B59" s="106" t="s">
        <v>76</v>
      </c>
      <c r="C59" s="118"/>
    </row>
    <row r="60" spans="2:3">
      <c r="B60" s="20" t="s">
        <v>144</v>
      </c>
      <c r="C60" s="83">
        <f>Berekening!P18</f>
        <v>358.4</v>
      </c>
    </row>
    <row r="61" spans="2:3">
      <c r="B61" s="64" t="s">
        <v>145</v>
      </c>
      <c r="C61" s="82">
        <f>Berekening!P20</f>
        <v>107520</v>
      </c>
    </row>
    <row r="62" spans="2:3" ht="15.75" thickBot="1">
      <c r="B62" s="112"/>
      <c r="C62" s="113"/>
    </row>
    <row r="63" spans="2:3">
      <c r="B63" s="106" t="s">
        <v>146</v>
      </c>
      <c r="C63" s="118"/>
    </row>
    <row r="64" spans="2:3">
      <c r="B64" s="20" t="s">
        <v>42</v>
      </c>
      <c r="C64" s="21">
        <f>Berekening!J44</f>
        <v>106541.9973200399</v>
      </c>
    </row>
    <row r="65" spans="2:8">
      <c r="B65" s="20"/>
      <c r="C65" s="22"/>
    </row>
    <row r="66" spans="2:8">
      <c r="B66" s="64" t="s">
        <v>147</v>
      </c>
      <c r="C66" s="68">
        <f>Berekening!P28</f>
        <v>107520</v>
      </c>
    </row>
    <row r="67" spans="2:8" ht="15.75" thickBot="1">
      <c r="B67" s="20"/>
      <c r="C67" s="22"/>
    </row>
    <row r="68" spans="2:8" ht="15.75" thickTop="1">
      <c r="B68" s="20" t="s">
        <v>146</v>
      </c>
      <c r="C68" s="61">
        <f>Berekening!P30</f>
        <v>-978.00267996010371</v>
      </c>
      <c r="E68" s="97" t="s">
        <v>157</v>
      </c>
      <c r="F68" s="98"/>
      <c r="G68" s="98"/>
      <c r="H68" s="99"/>
    </row>
    <row r="69" spans="2:8">
      <c r="B69" s="64" t="s">
        <v>150</v>
      </c>
      <c r="C69" s="81">
        <f>Berekening!P31</f>
        <v>-5.4333482220005758</v>
      </c>
      <c r="E69" s="100"/>
      <c r="F69" s="101"/>
      <c r="G69" s="101"/>
      <c r="H69" s="102"/>
    </row>
    <row r="70" spans="2:8" ht="15.75" thickBot="1">
      <c r="B70" s="24" t="s">
        <v>151</v>
      </c>
      <c r="C70" s="62">
        <f>Berekening!P32</f>
        <v>-0.18111160740001919</v>
      </c>
      <c r="E70" s="100"/>
      <c r="F70" s="101"/>
      <c r="G70" s="101"/>
      <c r="H70" s="102"/>
    </row>
    <row r="71" spans="2:8" ht="15.75" thickBot="1">
      <c r="E71" s="100"/>
      <c r="F71" s="101"/>
      <c r="G71" s="101"/>
      <c r="H71" s="102"/>
    </row>
    <row r="72" spans="2:8" ht="15.75" thickTop="1">
      <c r="B72" s="89" t="s">
        <v>153</v>
      </c>
      <c r="C72" s="90"/>
      <c r="E72" s="100"/>
      <c r="F72" s="101"/>
      <c r="G72" s="101"/>
      <c r="H72" s="102"/>
    </row>
    <row r="73" spans="2:8" ht="15.75" thickBot="1">
      <c r="B73" s="91"/>
      <c r="C73" s="92"/>
      <c r="E73" s="103"/>
      <c r="F73" s="104"/>
      <c r="G73" s="104"/>
      <c r="H73" s="105"/>
    </row>
    <row r="74" spans="2:8" ht="15.75" thickTop="1"/>
  </sheetData>
  <mergeCells count="19">
    <mergeCell ref="B22:C22"/>
    <mergeCell ref="B29:C29"/>
    <mergeCell ref="B34:C34"/>
    <mergeCell ref="B47:C47"/>
    <mergeCell ref="B72:C73"/>
    <mergeCell ref="B2:C3"/>
    <mergeCell ref="E5:H10"/>
    <mergeCell ref="E68:H73"/>
    <mergeCell ref="B59:C59"/>
    <mergeCell ref="B63:C63"/>
    <mergeCell ref="B13:C13"/>
    <mergeCell ref="B21:C21"/>
    <mergeCell ref="B28:C28"/>
    <mergeCell ref="B33:C33"/>
    <mergeCell ref="B46:C46"/>
    <mergeCell ref="B58:C58"/>
    <mergeCell ref="B62:C62"/>
    <mergeCell ref="B5:C5"/>
    <mergeCell ref="B14:C14"/>
  </mergeCells>
  <hyperlinks>
    <hyperlink ref="B72:C73" location="Invoere!A1" display="Invoe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Invoere</vt:lpstr>
      <vt:lpstr>Berekening</vt:lpstr>
      <vt:lpstr>Marges</vt:lpstr>
      <vt:lpstr>Berekening!Print_Area</vt:lpstr>
    </vt:vector>
  </TitlesOfParts>
  <Company>UFS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Uvp</dc:creator>
  <cp:lastModifiedBy>Viper</cp:lastModifiedBy>
  <cp:lastPrinted>2011-08-23T13:01:03Z</cp:lastPrinted>
  <dcterms:created xsi:type="dcterms:W3CDTF">2011-05-31T11:32:12Z</dcterms:created>
  <dcterms:modified xsi:type="dcterms:W3CDTF">2011-11-09T19:43:35Z</dcterms:modified>
</cp:coreProperties>
</file>